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Gord\Technical\Perfect_Match\"/>
    </mc:Choice>
  </mc:AlternateContent>
  <xr:revisionPtr revIDLastSave="0" documentId="13_ncr:1_{CCB52F21-B166-438B-8B5C-0495BC60CD9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erfectMatch" sheetId="13" r:id="rId1"/>
    <sheet name="PerfectMatch_GHz" sheetId="1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4" l="1"/>
  <c r="B55" i="14" s="1"/>
  <c r="B24" i="14"/>
  <c r="B23" i="14"/>
  <c r="B27" i="14" s="1"/>
  <c r="B56" i="14" s="1"/>
  <c r="B22" i="14"/>
  <c r="B21" i="14"/>
  <c r="B26" i="14" s="1"/>
  <c r="B57" i="14" l="1"/>
  <c r="B58" i="14" s="1"/>
  <c r="B59" i="14" s="1"/>
  <c r="B31" i="14"/>
  <c r="B30" i="14"/>
  <c r="B25" i="13"/>
  <c r="B24" i="13"/>
  <c r="B23" i="13"/>
  <c r="B27" i="13" s="1"/>
  <c r="B22" i="13"/>
  <c r="B21" i="13"/>
  <c r="B73" i="14" l="1"/>
  <c r="B72" i="14"/>
  <c r="B82" i="14" s="1"/>
  <c r="B65" i="14"/>
  <c r="B66" i="14"/>
  <c r="B60" i="14"/>
  <c r="B67" i="14" s="1"/>
  <c r="B71" i="14"/>
  <c r="B74" i="14"/>
  <c r="B79" i="14"/>
  <c r="B80" i="14"/>
  <c r="B32" i="14"/>
  <c r="B33" i="14" s="1"/>
  <c r="B38" i="14" s="1"/>
  <c r="B39" i="14" s="1"/>
  <c r="B57" i="13"/>
  <c r="B55" i="13"/>
  <c r="B56" i="13"/>
  <c r="B26" i="13"/>
  <c r="B30" i="13" s="1"/>
  <c r="B64" i="14" l="1"/>
  <c r="B40" i="14"/>
  <c r="B37" i="14" s="1"/>
  <c r="B83" i="14"/>
  <c r="B78" i="14"/>
  <c r="B45" i="14"/>
  <c r="B47" i="14" s="1"/>
  <c r="B44" i="14" s="1"/>
  <c r="B81" i="14"/>
  <c r="B58" i="13"/>
  <c r="B59" i="13" s="1"/>
  <c r="B31" i="13"/>
  <c r="B32" i="13" s="1"/>
  <c r="B33" i="13" s="1"/>
  <c r="B46" i="14" l="1"/>
  <c r="B73" i="13"/>
  <c r="B72" i="13"/>
  <c r="B65" i="13"/>
  <c r="B60" i="13"/>
  <c r="B66" i="13"/>
  <c r="B40" i="13"/>
  <c r="B37" i="13" s="1"/>
  <c r="B45" i="13"/>
  <c r="B38" i="13"/>
  <c r="B39" i="13" s="1"/>
  <c r="B71" i="13" l="1"/>
  <c r="B74" i="13"/>
  <c r="B67" i="13"/>
  <c r="B64" i="13"/>
  <c r="B80" i="13"/>
  <c r="B79" i="13"/>
  <c r="B82" i="13"/>
  <c r="B47" i="13"/>
  <c r="B46" i="13"/>
  <c r="B83" i="13" l="1"/>
  <c r="B78" i="13"/>
  <c r="B81" i="13"/>
  <c r="B44" i="13"/>
</calcChain>
</file>

<file path=xl/sharedStrings.xml><?xml version="1.0" encoding="utf-8"?>
<sst xmlns="http://schemas.openxmlformats.org/spreadsheetml/2006/main" count="169" uniqueCount="64">
  <si>
    <t>F</t>
  </si>
  <si>
    <t>Csh1</t>
  </si>
  <si>
    <t>Csh2</t>
  </si>
  <si>
    <t>Lser1</t>
  </si>
  <si>
    <t>Lser2</t>
  </si>
  <si>
    <t>F0</t>
  </si>
  <si>
    <t>Rlow</t>
  </si>
  <si>
    <t>Rhigh</t>
  </si>
  <si>
    <t>Flow</t>
  </si>
  <si>
    <t>Fhigh</t>
  </si>
  <si>
    <t>T</t>
  </si>
  <si>
    <t>R0</t>
  </si>
  <si>
    <t>DelF</t>
  </si>
  <si>
    <t>Cser1</t>
  </si>
  <si>
    <t>Lsh2</t>
  </si>
  <si>
    <t>Cser2</t>
  </si>
  <si>
    <t>a</t>
  </si>
  <si>
    <t>2Pi squared</t>
  </si>
  <si>
    <t>T squared</t>
  </si>
  <si>
    <t>BW parameter</t>
  </si>
  <si>
    <t xml:space="preserve">b </t>
  </si>
  <si>
    <t>csq</t>
  </si>
  <si>
    <t>csh</t>
  </si>
  <si>
    <t>Ohms</t>
  </si>
  <si>
    <t>Hz</t>
  </si>
  <si>
    <t>H</t>
  </si>
  <si>
    <t>Lsh1</t>
  </si>
  <si>
    <t>A Perfect Match Calculator</t>
  </si>
  <si>
    <t>This spread-sheet calculates the element values required</t>
  </si>
  <si>
    <t>for a perfect 4-element match.</t>
  </si>
  <si>
    <t>Inputs parameters are</t>
  </si>
  <si>
    <t>-The two frequencies of the nulls in the return loss</t>
  </si>
  <si>
    <t>-The impedances being matched</t>
  </si>
  <si>
    <t>Intermediate Calculations</t>
  </si>
  <si>
    <t>Inputs</t>
  </si>
  <si>
    <t>The calculations are exact and unique, and the calculator is valid over all frequencies and impedances.</t>
  </si>
  <si>
    <t>ADS Implementation</t>
  </si>
  <si>
    <t>for LPLP and HPHP calculations</t>
  </si>
  <si>
    <t>for LPHP and HPLP calculations</t>
  </si>
  <si>
    <t>c</t>
  </si>
  <si>
    <t>Lser</t>
  </si>
  <si>
    <t>Csh</t>
  </si>
  <si>
    <t>Cser</t>
  </si>
  <si>
    <t>Lsh</t>
  </si>
  <si>
    <t>lsh</t>
  </si>
  <si>
    <t>Lpri</t>
  </si>
  <si>
    <t>M</t>
  </si>
  <si>
    <t>Lsec</t>
  </si>
  <si>
    <t>coupling fact</t>
  </si>
  <si>
    <t>Hz, H, F, Ohm</t>
  </si>
  <si>
    <t>GHz, nH, pF, Ohm</t>
  </si>
  <si>
    <t>GHz</t>
  </si>
  <si>
    <t>nH</t>
  </si>
  <si>
    <t>pF</t>
  </si>
  <si>
    <t>Blocks common to all networks:</t>
  </si>
  <si>
    <t>Blocks for LPLP and HPHP (LCLC and CLCL) designs</t>
  </si>
  <si>
    <t>Blocks for LPHP and HPLP (LCCL and CLLC) designs</t>
  </si>
  <si>
    <t>LCLC element values</t>
  </si>
  <si>
    <t>CLCL element values</t>
  </si>
  <si>
    <t>LCCL element values</t>
  </si>
  <si>
    <t>CLLC element values</t>
  </si>
  <si>
    <t>C-transformer-C element values</t>
  </si>
  <si>
    <t>Rlow &lt; Rhigh</t>
  </si>
  <si>
    <t>Flow &lt; Fhigh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</si>
</sst>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quotePrefix="1"/>
    <xf numFmtId="11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1" fontId="0" fillId="0" borderId="7" xfId="0" applyNumberFormat="1" applyBorder="1"/>
    <xf numFmtId="0" fontId="0" fillId="0" borderId="8" xfId="0" applyBorder="1"/>
    <xf numFmtId="0" fontId="1" fillId="0" borderId="0" xfId="0" applyFont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32</xdr:row>
      <xdr:rowOff>7620</xdr:rowOff>
    </xdr:from>
    <xdr:to>
      <xdr:col>12</xdr:col>
      <xdr:colOff>518678</xdr:colOff>
      <xdr:row>41</xdr:row>
      <xdr:rowOff>45866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2640" y="5676900"/>
          <a:ext cx="5982218" cy="1684166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</xdr:colOff>
      <xdr:row>41</xdr:row>
      <xdr:rowOff>106680</xdr:rowOff>
    </xdr:from>
    <xdr:to>
      <xdr:col>12</xdr:col>
      <xdr:colOff>541540</xdr:colOff>
      <xdr:row>50</xdr:row>
      <xdr:rowOff>144926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72640" y="7421880"/>
          <a:ext cx="6005080" cy="1684166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304800</xdr:colOff>
      <xdr:row>11</xdr:row>
      <xdr:rowOff>121920</xdr:rowOff>
    </xdr:from>
    <xdr:to>
      <xdr:col>11</xdr:col>
      <xdr:colOff>396565</xdr:colOff>
      <xdr:row>24</xdr:row>
      <xdr:rowOff>160229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73780" y="2133600"/>
          <a:ext cx="3749365" cy="24157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152400</xdr:rowOff>
    </xdr:from>
    <xdr:to>
      <xdr:col>11</xdr:col>
      <xdr:colOff>259703</xdr:colOff>
      <xdr:row>99</xdr:row>
      <xdr:rowOff>99246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6428720"/>
          <a:ext cx="7186283" cy="21414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8</xdr:col>
      <xdr:colOff>282406</xdr:colOff>
      <xdr:row>123</xdr:row>
      <xdr:rowOff>53662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9202400"/>
          <a:ext cx="5380186" cy="37112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7</xdr:col>
      <xdr:colOff>526215</xdr:colOff>
      <xdr:row>148</xdr:row>
      <xdr:rowOff>175608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3591520"/>
          <a:ext cx="5014395" cy="4016088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</xdr:colOff>
      <xdr:row>58</xdr:row>
      <xdr:rowOff>181930</xdr:rowOff>
    </xdr:from>
    <xdr:to>
      <xdr:col>12</xdr:col>
      <xdr:colOff>601980</xdr:colOff>
      <xdr:row>69</xdr:row>
      <xdr:rowOff>164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080260" y="10788970"/>
          <a:ext cx="6057900" cy="1829914"/>
        </a:xfrm>
        <a:prstGeom prst="rect">
          <a:avLst/>
        </a:prstGeom>
      </xdr:spPr>
    </xdr:pic>
    <xdr:clientData/>
  </xdr:twoCellAnchor>
  <xdr:twoCellAnchor editAs="oneCell">
    <xdr:from>
      <xdr:col>3</xdr:col>
      <xdr:colOff>22861</xdr:colOff>
      <xdr:row>69</xdr:row>
      <xdr:rowOff>41318</xdr:rowOff>
    </xdr:from>
    <xdr:to>
      <xdr:col>12</xdr:col>
      <xdr:colOff>556261</xdr:colOff>
      <xdr:row>79</xdr:row>
      <xdr:rowOff>45887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072641" y="12660038"/>
          <a:ext cx="6019800" cy="1833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6"/>
  <sheetViews>
    <sheetView workbookViewId="0">
      <selection activeCell="F1" sqref="F1"/>
    </sheetView>
  </sheetViews>
  <sheetFormatPr defaultRowHeight="14.4" x14ac:dyDescent="0.3"/>
  <cols>
    <col min="1" max="1" width="12.21875" customWidth="1"/>
    <col min="2" max="2" width="12" bestFit="1" customWidth="1"/>
    <col min="3" max="3" width="5.6640625" customWidth="1"/>
  </cols>
  <sheetData>
    <row r="1" spans="1:4" x14ac:dyDescent="0.3">
      <c r="A1" s="11" t="s">
        <v>27</v>
      </c>
      <c r="D1" s="11" t="s">
        <v>49</v>
      </c>
    </row>
    <row r="3" spans="1:4" x14ac:dyDescent="0.3">
      <c r="A3" t="s">
        <v>28</v>
      </c>
    </row>
    <row r="4" spans="1:4" x14ac:dyDescent="0.3">
      <c r="A4" t="s">
        <v>29</v>
      </c>
    </row>
    <row r="6" spans="1:4" x14ac:dyDescent="0.3">
      <c r="A6" t="s">
        <v>30</v>
      </c>
    </row>
    <row r="7" spans="1:4" x14ac:dyDescent="0.3">
      <c r="A7" s="1" t="s">
        <v>31</v>
      </c>
    </row>
    <row r="8" spans="1:4" x14ac:dyDescent="0.3">
      <c r="A8" s="1" t="s">
        <v>32</v>
      </c>
    </row>
    <row r="10" spans="1:4" x14ac:dyDescent="0.3">
      <c r="A10" s="1" t="s">
        <v>35</v>
      </c>
    </row>
    <row r="12" spans="1:4" x14ac:dyDescent="0.3">
      <c r="A12" s="11" t="s">
        <v>34</v>
      </c>
    </row>
    <row r="14" spans="1:4" x14ac:dyDescent="0.3">
      <c r="A14" s="3" t="s">
        <v>6</v>
      </c>
      <c r="B14" s="4">
        <v>10</v>
      </c>
      <c r="C14" s="5" t="s">
        <v>23</v>
      </c>
      <c r="D14" t="s">
        <v>62</v>
      </c>
    </row>
    <row r="15" spans="1:4" x14ac:dyDescent="0.3">
      <c r="A15" s="6" t="s">
        <v>7</v>
      </c>
      <c r="B15">
        <v>50</v>
      </c>
      <c r="C15" s="7" t="s">
        <v>23</v>
      </c>
    </row>
    <row r="16" spans="1:4" x14ac:dyDescent="0.3">
      <c r="A16" s="6" t="s">
        <v>8</v>
      </c>
      <c r="B16" s="2">
        <v>2000000000</v>
      </c>
      <c r="C16" s="7" t="s">
        <v>24</v>
      </c>
      <c r="D16" t="s">
        <v>63</v>
      </c>
    </row>
    <row r="17" spans="1:3" x14ac:dyDescent="0.3">
      <c r="A17" s="8" t="s">
        <v>9</v>
      </c>
      <c r="B17" s="9">
        <v>3000000000</v>
      </c>
      <c r="C17" s="10" t="s">
        <v>24</v>
      </c>
    </row>
    <row r="19" spans="1:3" x14ac:dyDescent="0.3">
      <c r="A19" s="11" t="s">
        <v>33</v>
      </c>
    </row>
    <row r="21" spans="1:3" x14ac:dyDescent="0.3">
      <c r="A21" t="s">
        <v>10</v>
      </c>
      <c r="B21">
        <f>SQRT(B14/B15)</f>
        <v>0.44721359549995793</v>
      </c>
    </row>
    <row r="22" spans="1:3" x14ac:dyDescent="0.3">
      <c r="A22" t="s">
        <v>11</v>
      </c>
      <c r="B22">
        <f>SQRT(B14*B15)</f>
        <v>22.360679774997898</v>
      </c>
      <c r="C22" t="s">
        <v>23</v>
      </c>
    </row>
    <row r="23" spans="1:3" x14ac:dyDescent="0.3">
      <c r="A23" t="s">
        <v>5</v>
      </c>
      <c r="B23">
        <f>SQRT(B16*B17)</f>
        <v>2449489742.7831783</v>
      </c>
      <c r="C23" t="s">
        <v>24</v>
      </c>
    </row>
    <row r="24" spans="1:3" x14ac:dyDescent="0.3">
      <c r="A24" t="s">
        <v>12</v>
      </c>
      <c r="B24" s="2">
        <f>B17-B16</f>
        <v>1000000000</v>
      </c>
      <c r="C24" t="s">
        <v>24</v>
      </c>
    </row>
    <row r="25" spans="1:3" x14ac:dyDescent="0.3">
      <c r="A25" t="s">
        <v>17</v>
      </c>
      <c r="B25">
        <f>4*PI()*PI()</f>
        <v>39.478417604357432</v>
      </c>
    </row>
    <row r="26" spans="1:3" x14ac:dyDescent="0.3">
      <c r="A26" t="s">
        <v>18</v>
      </c>
      <c r="B26">
        <f>B21*B21</f>
        <v>0.19999999999999998</v>
      </c>
    </row>
    <row r="27" spans="1:3" x14ac:dyDescent="0.3">
      <c r="A27" t="s">
        <v>19</v>
      </c>
      <c r="B27" s="2">
        <f>8*PI()*PI()+(2*PI()*(B17-B16)/B23)^2</f>
        <v>85.536571476107767</v>
      </c>
    </row>
    <row r="28" spans="1:3" x14ac:dyDescent="0.3">
      <c r="B28" s="2"/>
    </row>
    <row r="29" spans="1:3" x14ac:dyDescent="0.3">
      <c r="A29" t="s">
        <v>37</v>
      </c>
    </row>
    <row r="30" spans="1:3" x14ac:dyDescent="0.3">
      <c r="A30" t="s">
        <v>16</v>
      </c>
      <c r="B30">
        <f>B26*B25*B25/(1-B26)</f>
        <v>389.63636413600966</v>
      </c>
    </row>
    <row r="31" spans="1:3" x14ac:dyDescent="0.3">
      <c r="A31" t="s">
        <v>20</v>
      </c>
      <c r="B31">
        <f>B27-2*B25/SQRT(1-B26)</f>
        <v>-2.7398539313598462</v>
      </c>
    </row>
    <row r="32" spans="1:3" x14ac:dyDescent="0.3">
      <c r="A32" t="s">
        <v>21</v>
      </c>
      <c r="B32">
        <f>-B31+SQRT(B31*B31+4*B30)</f>
        <v>42.313232054906827</v>
      </c>
    </row>
    <row r="33" spans="1:3" x14ac:dyDescent="0.3">
      <c r="A33" t="s">
        <v>22</v>
      </c>
      <c r="B33">
        <f>SQRT(B32/(2*B30))</f>
        <v>0.23302008749623229</v>
      </c>
    </row>
    <row r="35" spans="1:3" x14ac:dyDescent="0.3">
      <c r="A35" s="11" t="s">
        <v>57</v>
      </c>
    </row>
    <row r="37" spans="1:3" x14ac:dyDescent="0.3">
      <c r="A37" s="3" t="s">
        <v>3</v>
      </c>
      <c r="B37" s="4">
        <f>B40*B22*B22</f>
        <v>8.875672577032298E-10</v>
      </c>
      <c r="C37" s="5" t="s">
        <v>25</v>
      </c>
    </row>
    <row r="38" spans="1:3" x14ac:dyDescent="0.3">
      <c r="A38" s="6" t="s">
        <v>1</v>
      </c>
      <c r="B38">
        <f>B33/(B22*B23)</f>
        <v>4.2543452757837973E-12</v>
      </c>
      <c r="C38" s="7" t="s">
        <v>0</v>
      </c>
    </row>
    <row r="39" spans="1:3" x14ac:dyDescent="0.3">
      <c r="A39" s="6" t="s">
        <v>4</v>
      </c>
      <c r="B39">
        <f>B38*B22*B22</f>
        <v>2.1271726378918988E-9</v>
      </c>
      <c r="C39" s="7" t="s">
        <v>25</v>
      </c>
    </row>
    <row r="40" spans="1:3" x14ac:dyDescent="0.3">
      <c r="A40" s="8" t="s">
        <v>2</v>
      </c>
      <c r="B40" s="12">
        <f>SQRT(1-B26)/(B25*B33*B22*B23)</f>
        <v>1.7751345154064595E-12</v>
      </c>
      <c r="C40" s="10" t="s">
        <v>0</v>
      </c>
    </row>
    <row r="42" spans="1:3" x14ac:dyDescent="0.3">
      <c r="A42" s="11" t="s">
        <v>58</v>
      </c>
    </row>
    <row r="44" spans="1:3" x14ac:dyDescent="0.3">
      <c r="A44" s="3" t="s">
        <v>13</v>
      </c>
      <c r="B44" s="4">
        <f>B47/(B22*B22)</f>
        <v>4.7565026182038304E-12</v>
      </c>
      <c r="C44" s="5" t="s">
        <v>0</v>
      </c>
    </row>
    <row r="45" spans="1:3" x14ac:dyDescent="0.3">
      <c r="A45" s="6" t="s">
        <v>26</v>
      </c>
      <c r="B45">
        <f>B22/(B33*B25*B23)</f>
        <v>9.923303614137478E-10</v>
      </c>
      <c r="C45" s="7" t="s">
        <v>25</v>
      </c>
    </row>
    <row r="46" spans="1:3" x14ac:dyDescent="0.3">
      <c r="A46" s="6" t="s">
        <v>15</v>
      </c>
      <c r="B46">
        <f>B45/(B22*B22)</f>
        <v>1.9846607228274955E-12</v>
      </c>
      <c r="C46" s="7" t="s">
        <v>0</v>
      </c>
    </row>
    <row r="47" spans="1:3" x14ac:dyDescent="0.3">
      <c r="A47" s="8" t="s">
        <v>14</v>
      </c>
      <c r="B47" s="12">
        <f>B22*B22/(SQRT(1-B26)*B25*B45*B23*B23)</f>
        <v>2.3782513091019155E-9</v>
      </c>
      <c r="C47" s="10" t="s">
        <v>25</v>
      </c>
    </row>
    <row r="54" spans="1:3" x14ac:dyDescent="0.3">
      <c r="A54" t="s">
        <v>38</v>
      </c>
    </row>
    <row r="55" spans="1:3" x14ac:dyDescent="0.3">
      <c r="A55" t="s">
        <v>16</v>
      </c>
      <c r="B55">
        <f>B25*B25*B21*B21</f>
        <v>311.70909130880773</v>
      </c>
    </row>
    <row r="56" spans="1:3" x14ac:dyDescent="0.3">
      <c r="A56" t="s">
        <v>20</v>
      </c>
      <c r="B56" s="2">
        <f>2*B25*(B21*B21-1)+B27</f>
        <v>22.371103309135876</v>
      </c>
    </row>
    <row r="57" spans="1:3" x14ac:dyDescent="0.3">
      <c r="A57" t="s">
        <v>39</v>
      </c>
      <c r="B57">
        <f>B21*B21-1</f>
        <v>-0.8</v>
      </c>
    </row>
    <row r="58" spans="1:3" x14ac:dyDescent="0.3">
      <c r="A58" t="s">
        <v>21</v>
      </c>
      <c r="B58">
        <f>(-B56+SQRT(B56*B56-4*B55*B57))/(2*B55)</f>
        <v>2.619761018134888E-2</v>
      </c>
    </row>
    <row r="59" spans="1:3" x14ac:dyDescent="0.3">
      <c r="A59" t="s">
        <v>22</v>
      </c>
      <c r="B59">
        <f>SQRT(B58)</f>
        <v>0.16185675821957166</v>
      </c>
    </row>
    <row r="60" spans="1:3" x14ac:dyDescent="0.3">
      <c r="A60" t="s">
        <v>44</v>
      </c>
      <c r="B60">
        <f>B59+1/(B59*B25)</f>
        <v>0.3183549865865446</v>
      </c>
    </row>
    <row r="62" spans="1:3" x14ac:dyDescent="0.3">
      <c r="A62" s="11" t="s">
        <v>59</v>
      </c>
    </row>
    <row r="64" spans="1:3" x14ac:dyDescent="0.3">
      <c r="A64" s="3" t="s">
        <v>40</v>
      </c>
      <c r="B64" s="4">
        <f>B22/(B25*B60*B23)</f>
        <v>7.2633669138064161E-10</v>
      </c>
      <c r="C64" s="5"/>
    </row>
    <row r="65" spans="1:3" x14ac:dyDescent="0.3">
      <c r="A65" s="6" t="s">
        <v>41</v>
      </c>
      <c r="B65">
        <f>B59/(B22*B23)</f>
        <v>2.9550865853839699E-12</v>
      </c>
      <c r="C65" s="7"/>
    </row>
    <row r="66" spans="1:3" x14ac:dyDescent="0.3">
      <c r="A66" s="6" t="s">
        <v>42</v>
      </c>
      <c r="B66">
        <f>1/(B25*B59*B22*B23)</f>
        <v>2.857253662872864E-12</v>
      </c>
      <c r="C66" s="7"/>
    </row>
    <row r="67" spans="1:3" x14ac:dyDescent="0.3">
      <c r="A67" s="8" t="s">
        <v>43</v>
      </c>
      <c r="B67" s="12">
        <f>B60*B22/B23</f>
        <v>2.9061701241284173E-9</v>
      </c>
      <c r="C67" s="10"/>
    </row>
    <row r="69" spans="1:3" x14ac:dyDescent="0.3">
      <c r="A69" s="11" t="s">
        <v>60</v>
      </c>
    </row>
    <row r="71" spans="1:3" x14ac:dyDescent="0.3">
      <c r="A71" s="3" t="s">
        <v>42</v>
      </c>
      <c r="B71" s="4">
        <f>B60/(B22*B23)</f>
        <v>5.8123402482568348E-12</v>
      </c>
      <c r="C71" s="5"/>
    </row>
    <row r="72" spans="1:3" x14ac:dyDescent="0.3">
      <c r="A72" s="6" t="s">
        <v>43</v>
      </c>
      <c r="B72">
        <f>B22/(B59*B25*B23)</f>
        <v>1.4286268314364322E-9</v>
      </c>
      <c r="C72" s="7"/>
    </row>
    <row r="73" spans="1:3" x14ac:dyDescent="0.3">
      <c r="A73" s="6" t="s">
        <v>40</v>
      </c>
      <c r="B73">
        <f>B59*B22/B23</f>
        <v>1.4775432926919849E-9</v>
      </c>
      <c r="C73" s="7"/>
    </row>
    <row r="74" spans="1:3" x14ac:dyDescent="0.3">
      <c r="A74" s="8" t="s">
        <v>41</v>
      </c>
      <c r="B74" s="12">
        <f>1/(B60*B22*B23*B25)</f>
        <v>1.4526733827612833E-12</v>
      </c>
      <c r="C74" s="10"/>
    </row>
    <row r="76" spans="1:3" x14ac:dyDescent="0.3">
      <c r="A76" s="11" t="s">
        <v>61</v>
      </c>
    </row>
    <row r="78" spans="1:3" x14ac:dyDescent="0.3">
      <c r="A78" s="3" t="s">
        <v>42</v>
      </c>
      <c r="B78" s="4">
        <f>B71</f>
        <v>5.8123402482568348E-12</v>
      </c>
      <c r="C78" s="5"/>
    </row>
    <row r="79" spans="1:3" x14ac:dyDescent="0.3">
      <c r="A79" s="6" t="s">
        <v>45</v>
      </c>
      <c r="B79">
        <f>B72</f>
        <v>1.4286268314364322E-9</v>
      </c>
      <c r="C79" s="7"/>
    </row>
    <row r="80" spans="1:3" x14ac:dyDescent="0.3">
      <c r="A80" s="6" t="s">
        <v>46</v>
      </c>
      <c r="B80">
        <f>B72</f>
        <v>1.4286268314364322E-9</v>
      </c>
      <c r="C80" s="7"/>
    </row>
    <row r="81" spans="1:3" x14ac:dyDescent="0.3">
      <c r="A81" s="6" t="s">
        <v>48</v>
      </c>
      <c r="B81">
        <f>SQRT(B80/B82)</f>
        <v>0.70113053950342519</v>
      </c>
      <c r="C81" s="7"/>
    </row>
    <row r="82" spans="1:3" x14ac:dyDescent="0.3">
      <c r="A82" s="6" t="s">
        <v>47</v>
      </c>
      <c r="B82">
        <f>B72+B73</f>
        <v>2.9061701241284169E-9</v>
      </c>
      <c r="C82" s="7"/>
    </row>
    <row r="83" spans="1:3" x14ac:dyDescent="0.3">
      <c r="A83" s="8" t="s">
        <v>41</v>
      </c>
      <c r="B83" s="12">
        <f>B74</f>
        <v>1.4526733827612833E-12</v>
      </c>
      <c r="C83" s="10"/>
    </row>
    <row r="85" spans="1:3" x14ac:dyDescent="0.3">
      <c r="A85" s="11" t="s">
        <v>36</v>
      </c>
    </row>
    <row r="87" spans="1:3" x14ac:dyDescent="0.3">
      <c r="A87" t="s">
        <v>54</v>
      </c>
    </row>
    <row r="102" spans="1:1" x14ac:dyDescent="0.3">
      <c r="A102" t="s">
        <v>55</v>
      </c>
    </row>
    <row r="126" spans="1:1" x14ac:dyDescent="0.3">
      <c r="A126" t="s">
        <v>56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3"/>
  <sheetViews>
    <sheetView tabSelected="1" workbookViewId="0">
      <selection activeCell="F1" sqref="F1"/>
    </sheetView>
  </sheetViews>
  <sheetFormatPr defaultRowHeight="14.4" x14ac:dyDescent="0.3"/>
  <cols>
    <col min="1" max="1" width="12.44140625" customWidth="1"/>
    <col min="2" max="2" width="12.109375" customWidth="1"/>
    <col min="3" max="3" width="5.44140625" customWidth="1"/>
  </cols>
  <sheetData>
    <row r="1" spans="1:4" x14ac:dyDescent="0.3">
      <c r="A1" s="11" t="s">
        <v>27</v>
      </c>
      <c r="D1" s="11" t="s">
        <v>50</v>
      </c>
    </row>
    <row r="3" spans="1:4" x14ac:dyDescent="0.3">
      <c r="A3" t="s">
        <v>28</v>
      </c>
    </row>
    <row r="4" spans="1:4" x14ac:dyDescent="0.3">
      <c r="A4" t="s">
        <v>29</v>
      </c>
    </row>
    <row r="6" spans="1:4" x14ac:dyDescent="0.3">
      <c r="A6" t="s">
        <v>30</v>
      </c>
    </row>
    <row r="7" spans="1:4" x14ac:dyDescent="0.3">
      <c r="A7" s="1" t="s">
        <v>31</v>
      </c>
    </row>
    <row r="8" spans="1:4" x14ac:dyDescent="0.3">
      <c r="A8" s="1" t="s">
        <v>32</v>
      </c>
    </row>
    <row r="10" spans="1:4" x14ac:dyDescent="0.3">
      <c r="A10" s="1" t="s">
        <v>35</v>
      </c>
    </row>
    <row r="12" spans="1:4" x14ac:dyDescent="0.3">
      <c r="A12" s="11" t="s">
        <v>34</v>
      </c>
    </row>
    <row r="14" spans="1:4" x14ac:dyDescent="0.3">
      <c r="A14" s="3" t="s">
        <v>6</v>
      </c>
      <c r="B14" s="4">
        <v>10</v>
      </c>
      <c r="C14" s="5" t="s">
        <v>23</v>
      </c>
    </row>
    <row r="15" spans="1:4" x14ac:dyDescent="0.3">
      <c r="A15" s="6" t="s">
        <v>7</v>
      </c>
      <c r="B15">
        <v>50</v>
      </c>
      <c r="C15" s="7" t="s">
        <v>23</v>
      </c>
    </row>
    <row r="16" spans="1:4" x14ac:dyDescent="0.3">
      <c r="A16" s="6" t="s">
        <v>8</v>
      </c>
      <c r="B16" s="2">
        <v>2</v>
      </c>
      <c r="C16" s="7" t="s">
        <v>51</v>
      </c>
    </row>
    <row r="17" spans="1:3" x14ac:dyDescent="0.3">
      <c r="A17" s="8" t="s">
        <v>9</v>
      </c>
      <c r="B17" s="9">
        <v>3</v>
      </c>
      <c r="C17" s="10" t="s">
        <v>51</v>
      </c>
    </row>
    <row r="19" spans="1:3" x14ac:dyDescent="0.3">
      <c r="A19" s="11" t="s">
        <v>33</v>
      </c>
    </row>
    <row r="21" spans="1:3" x14ac:dyDescent="0.3">
      <c r="A21" t="s">
        <v>10</v>
      </c>
      <c r="B21">
        <f>SQRT(B14/B15)</f>
        <v>0.44721359549995793</v>
      </c>
    </row>
    <row r="22" spans="1:3" x14ac:dyDescent="0.3">
      <c r="A22" t="s">
        <v>11</v>
      </c>
      <c r="B22">
        <f>SQRT(B14*B15)</f>
        <v>22.360679774997898</v>
      </c>
      <c r="C22" t="s">
        <v>23</v>
      </c>
    </row>
    <row r="23" spans="1:3" x14ac:dyDescent="0.3">
      <c r="A23" t="s">
        <v>5</v>
      </c>
      <c r="B23">
        <f>SQRT(B16*B17)</f>
        <v>2.4494897427831779</v>
      </c>
      <c r="C23" t="s">
        <v>51</v>
      </c>
    </row>
    <row r="24" spans="1:3" x14ac:dyDescent="0.3">
      <c r="A24" t="s">
        <v>12</v>
      </c>
      <c r="B24" s="2">
        <f>B17-B16</f>
        <v>1</v>
      </c>
      <c r="C24" t="s">
        <v>51</v>
      </c>
    </row>
    <row r="25" spans="1:3" x14ac:dyDescent="0.3">
      <c r="A25" t="s">
        <v>17</v>
      </c>
      <c r="B25">
        <f>4*PI()*PI()</f>
        <v>39.478417604357432</v>
      </c>
    </row>
    <row r="26" spans="1:3" x14ac:dyDescent="0.3">
      <c r="A26" t="s">
        <v>18</v>
      </c>
      <c r="B26">
        <f>B21*B21</f>
        <v>0.19999999999999998</v>
      </c>
    </row>
    <row r="27" spans="1:3" x14ac:dyDescent="0.3">
      <c r="A27" t="s">
        <v>19</v>
      </c>
      <c r="B27" s="2">
        <f>8*PI()*PI()+(2*PI()*(B17-B16)/B23)^2</f>
        <v>85.536571476107767</v>
      </c>
    </row>
    <row r="29" spans="1:3" x14ac:dyDescent="0.3">
      <c r="A29" t="s">
        <v>37</v>
      </c>
    </row>
    <row r="30" spans="1:3" x14ac:dyDescent="0.3">
      <c r="A30" t="s">
        <v>16</v>
      </c>
      <c r="B30">
        <f>B26*B25*B25/(1-B26)</f>
        <v>389.63636413600966</v>
      </c>
    </row>
    <row r="31" spans="1:3" x14ac:dyDescent="0.3">
      <c r="A31" t="s">
        <v>20</v>
      </c>
      <c r="B31">
        <f>B27-2*B25/SQRT(1-B26)</f>
        <v>-2.7398539313598462</v>
      </c>
    </row>
    <row r="32" spans="1:3" x14ac:dyDescent="0.3">
      <c r="A32" t="s">
        <v>21</v>
      </c>
      <c r="B32">
        <f>-B31+SQRT(B31*B31+4*B30)</f>
        <v>42.313232054906827</v>
      </c>
    </row>
    <row r="33" spans="1:3" x14ac:dyDescent="0.3">
      <c r="A33" t="s">
        <v>22</v>
      </c>
      <c r="B33">
        <f>SQRT(B32/(2*B30))</f>
        <v>0.23302008749623229</v>
      </c>
    </row>
    <row r="35" spans="1:3" x14ac:dyDescent="0.3">
      <c r="A35" s="11" t="s">
        <v>57</v>
      </c>
    </row>
    <row r="37" spans="1:3" x14ac:dyDescent="0.3">
      <c r="A37" s="3" t="s">
        <v>3</v>
      </c>
      <c r="B37" s="4">
        <f>B40*B22*B22/1000</f>
        <v>0.88756725770322986</v>
      </c>
      <c r="C37" s="5" t="s">
        <v>52</v>
      </c>
    </row>
    <row r="38" spans="1:3" x14ac:dyDescent="0.3">
      <c r="A38" s="6" t="s">
        <v>1</v>
      </c>
      <c r="B38">
        <f>1000*B33/(B22*B23)</f>
        <v>4.2543452757837983</v>
      </c>
      <c r="C38" s="7" t="s">
        <v>53</v>
      </c>
    </row>
    <row r="39" spans="1:3" x14ac:dyDescent="0.3">
      <c r="A39" s="6" t="s">
        <v>4</v>
      </c>
      <c r="B39">
        <f>B38*B22*B22/1000</f>
        <v>2.1271726378918991</v>
      </c>
      <c r="C39" s="7" t="s">
        <v>52</v>
      </c>
    </row>
    <row r="40" spans="1:3" x14ac:dyDescent="0.3">
      <c r="A40" s="8" t="s">
        <v>2</v>
      </c>
      <c r="B40" s="12">
        <f>1000*SQRT(1-B26)/(B25*B33*B22*B23)</f>
        <v>1.7751345154064597</v>
      </c>
      <c r="C40" s="10" t="s">
        <v>53</v>
      </c>
    </row>
    <row r="42" spans="1:3" x14ac:dyDescent="0.3">
      <c r="A42" s="11" t="s">
        <v>58</v>
      </c>
    </row>
    <row r="44" spans="1:3" x14ac:dyDescent="0.3">
      <c r="A44" s="3" t="s">
        <v>13</v>
      </c>
      <c r="B44" s="4">
        <f>1000*B47/(B22*B22)</f>
        <v>4.7565026182038315</v>
      </c>
      <c r="C44" s="5" t="s">
        <v>53</v>
      </c>
    </row>
    <row r="45" spans="1:3" x14ac:dyDescent="0.3">
      <c r="A45" s="6" t="s">
        <v>26</v>
      </c>
      <c r="B45">
        <f>B22/(B33*B25*B23)</f>
        <v>0.99233036141374797</v>
      </c>
      <c r="C45" s="7" t="s">
        <v>52</v>
      </c>
    </row>
    <row r="46" spans="1:3" x14ac:dyDescent="0.3">
      <c r="A46" s="6" t="s">
        <v>15</v>
      </c>
      <c r="B46">
        <f>1000*B45/(B22*B22)</f>
        <v>1.9846607228274957</v>
      </c>
      <c r="C46" s="7" t="s">
        <v>53</v>
      </c>
    </row>
    <row r="47" spans="1:3" x14ac:dyDescent="0.3">
      <c r="A47" s="8" t="s">
        <v>14</v>
      </c>
      <c r="B47" s="12">
        <f>B22*B22/(SQRT(1-B26)*B25*B45*B23*B23)</f>
        <v>2.3782513091019157</v>
      </c>
      <c r="C47" s="10" t="s">
        <v>52</v>
      </c>
    </row>
    <row r="54" spans="1:3" x14ac:dyDescent="0.3">
      <c r="A54" t="s">
        <v>38</v>
      </c>
    </row>
    <row r="55" spans="1:3" x14ac:dyDescent="0.3">
      <c r="A55" t="s">
        <v>16</v>
      </c>
      <c r="B55">
        <f>B25*B25*B21*B21</f>
        <v>311.70909130880773</v>
      </c>
    </row>
    <row r="56" spans="1:3" x14ac:dyDescent="0.3">
      <c r="A56" t="s">
        <v>20</v>
      </c>
      <c r="B56" s="2">
        <f>2*B25*(B21*B21-1)+B27</f>
        <v>22.371103309135876</v>
      </c>
    </row>
    <row r="57" spans="1:3" x14ac:dyDescent="0.3">
      <c r="A57" t="s">
        <v>39</v>
      </c>
      <c r="B57">
        <f>B21*B21-1</f>
        <v>-0.8</v>
      </c>
    </row>
    <row r="58" spans="1:3" x14ac:dyDescent="0.3">
      <c r="A58" t="s">
        <v>21</v>
      </c>
      <c r="B58">
        <f>(-B56+SQRT(B56*B56-4*B55*B57))/(2*B55)</f>
        <v>2.619761018134888E-2</v>
      </c>
    </row>
    <row r="59" spans="1:3" x14ac:dyDescent="0.3">
      <c r="A59" t="s">
        <v>22</v>
      </c>
      <c r="B59">
        <f>SQRT(B58)</f>
        <v>0.16185675821957166</v>
      </c>
    </row>
    <row r="60" spans="1:3" x14ac:dyDescent="0.3">
      <c r="A60" t="s">
        <v>44</v>
      </c>
      <c r="B60">
        <f>B59+1/(B59*B25)</f>
        <v>0.3183549865865446</v>
      </c>
    </row>
    <row r="62" spans="1:3" x14ac:dyDescent="0.3">
      <c r="A62" s="11" t="s">
        <v>59</v>
      </c>
    </row>
    <row r="64" spans="1:3" x14ac:dyDescent="0.3">
      <c r="A64" s="3" t="s">
        <v>40</v>
      </c>
      <c r="B64" s="4">
        <f>B22/(B25*B60*B23)</f>
        <v>0.72633669138064183</v>
      </c>
      <c r="C64" s="5" t="s">
        <v>52</v>
      </c>
    </row>
    <row r="65" spans="1:3" x14ac:dyDescent="0.3">
      <c r="A65" s="6" t="s">
        <v>41</v>
      </c>
      <c r="B65">
        <f>1000*B59/(B22*B23)</f>
        <v>2.9550865853839703</v>
      </c>
      <c r="C65" s="7" t="s">
        <v>53</v>
      </c>
    </row>
    <row r="66" spans="1:3" x14ac:dyDescent="0.3">
      <c r="A66" s="6" t="s">
        <v>42</v>
      </c>
      <c r="B66">
        <f>1000/(B25*B59*B22*B23)</f>
        <v>2.8572536628728646</v>
      </c>
      <c r="C66" s="7" t="s">
        <v>53</v>
      </c>
    </row>
    <row r="67" spans="1:3" x14ac:dyDescent="0.3">
      <c r="A67" s="8" t="s">
        <v>43</v>
      </c>
      <c r="B67" s="12">
        <f>B60*B22/B23</f>
        <v>2.9061701241284177</v>
      </c>
      <c r="C67" s="10" t="s">
        <v>52</v>
      </c>
    </row>
    <row r="69" spans="1:3" x14ac:dyDescent="0.3">
      <c r="A69" s="11" t="s">
        <v>60</v>
      </c>
    </row>
    <row r="71" spans="1:3" x14ac:dyDescent="0.3">
      <c r="A71" s="3" t="s">
        <v>42</v>
      </c>
      <c r="B71" s="4">
        <f>1000*B60/(B22*B23)</f>
        <v>5.8123402482568363</v>
      </c>
      <c r="C71" s="5" t="s">
        <v>53</v>
      </c>
    </row>
    <row r="72" spans="1:3" x14ac:dyDescent="0.3">
      <c r="A72" s="6" t="s">
        <v>43</v>
      </c>
      <c r="B72">
        <f>B22/(B59*B25*B23)</f>
        <v>1.4286268314364325</v>
      </c>
      <c r="C72" s="7" t="s">
        <v>52</v>
      </c>
    </row>
    <row r="73" spans="1:3" x14ac:dyDescent="0.3">
      <c r="A73" s="6" t="s">
        <v>40</v>
      </c>
      <c r="B73">
        <f>B59*B22/B23</f>
        <v>1.4775432926919851</v>
      </c>
      <c r="C73" s="7" t="s">
        <v>52</v>
      </c>
    </row>
    <row r="74" spans="1:3" x14ac:dyDescent="0.3">
      <c r="A74" s="8" t="s">
        <v>41</v>
      </c>
      <c r="B74" s="12">
        <f>1000/(B60*B22*B23*B25)</f>
        <v>1.4526733827612834</v>
      </c>
      <c r="C74" s="10" t="s">
        <v>53</v>
      </c>
    </row>
    <row r="76" spans="1:3" x14ac:dyDescent="0.3">
      <c r="A76" s="11" t="s">
        <v>61</v>
      </c>
    </row>
    <row r="78" spans="1:3" x14ac:dyDescent="0.3">
      <c r="A78" s="3" t="s">
        <v>42</v>
      </c>
      <c r="B78" s="4">
        <f>B71</f>
        <v>5.8123402482568363</v>
      </c>
      <c r="C78" s="5" t="s">
        <v>53</v>
      </c>
    </row>
    <row r="79" spans="1:3" x14ac:dyDescent="0.3">
      <c r="A79" s="6" t="s">
        <v>45</v>
      </c>
      <c r="B79">
        <f>B72</f>
        <v>1.4286268314364325</v>
      </c>
      <c r="C79" s="7" t="s">
        <v>52</v>
      </c>
    </row>
    <row r="80" spans="1:3" x14ac:dyDescent="0.3">
      <c r="A80" s="6" t="s">
        <v>46</v>
      </c>
      <c r="B80">
        <f>B72</f>
        <v>1.4286268314364325</v>
      </c>
      <c r="C80" s="7" t="s">
        <v>52</v>
      </c>
    </row>
    <row r="81" spans="1:3" x14ac:dyDescent="0.3">
      <c r="A81" s="6" t="s">
        <v>48</v>
      </c>
      <c r="B81">
        <f>SQRT(B80/B82)</f>
        <v>0.70113053950342519</v>
      </c>
      <c r="C81" s="7"/>
    </row>
    <row r="82" spans="1:3" x14ac:dyDescent="0.3">
      <c r="A82" s="6" t="s">
        <v>47</v>
      </c>
      <c r="B82">
        <f>B72+B73</f>
        <v>2.9061701241284177</v>
      </c>
      <c r="C82" s="7" t="s">
        <v>52</v>
      </c>
    </row>
    <row r="83" spans="1:3" x14ac:dyDescent="0.3">
      <c r="A83" s="8" t="s">
        <v>41</v>
      </c>
      <c r="B83" s="12">
        <f>B74</f>
        <v>1.4526733827612834</v>
      </c>
      <c r="C83" s="1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PerfectMatch</vt:lpstr>
      <vt:lpstr>PerfectMatch_GHz</vt:lpstr>
    </vt:vector>
  </TitlesOfParts>
  <Company>Skyworks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 Rabjohn</dc:creator>
  <cp:lastModifiedBy>Gord Rabjohn</cp:lastModifiedBy>
  <dcterms:created xsi:type="dcterms:W3CDTF">2019-04-15T13:24:31Z</dcterms:created>
  <dcterms:modified xsi:type="dcterms:W3CDTF">2024-03-25T01:23:49Z</dcterms:modified>
</cp:coreProperties>
</file>